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issam\Documents\Stats_Site\StatIV\Examen\"/>
    </mc:Choice>
  </mc:AlternateContent>
  <xr:revisionPtr revIDLastSave="0" documentId="13_ncr:1_{D415B098-CEA0-4CBD-A3AA-95A1D22526BA}" xr6:coauthVersionLast="47" xr6:coauthVersionMax="47" xr10:uidLastSave="{00000000-0000-0000-0000-000000000000}"/>
  <bookViews>
    <workbookView xWindow="-120" yWindow="-120" windowWidth="29040" windowHeight="17640" activeTab="1" xr2:uid="{B5B55B58-48E7-40FD-972E-964C3C4171C9}"/>
  </bookViews>
  <sheets>
    <sheet name="Q2-4" sheetId="1" r:id="rId1"/>
    <sheet name="Q5" sheetId="2" r:id="rId2"/>
    <sheet name="Q6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2" l="1"/>
  <c r="C22" i="3"/>
  <c r="B22" i="3"/>
  <c r="C20" i="3"/>
  <c r="B20" i="3"/>
  <c r="B21" i="3"/>
  <c r="B23" i="3" s="1"/>
  <c r="B10" i="3"/>
  <c r="B11" i="3" s="1"/>
  <c r="B6" i="3"/>
  <c r="B8" i="3" s="1"/>
  <c r="C38" i="1"/>
  <c r="I35" i="2"/>
  <c r="H35" i="2"/>
  <c r="D35" i="2"/>
  <c r="E11" i="2"/>
  <c r="D12" i="2"/>
  <c r="D11" i="2"/>
  <c r="G3" i="2"/>
  <c r="B38" i="1"/>
  <c r="B45" i="1" s="1"/>
  <c r="B47" i="1" s="1"/>
  <c r="B31" i="1"/>
  <c r="B15" i="1"/>
  <c r="B13" i="1"/>
  <c r="B14" i="1" s="1"/>
  <c r="C4" i="1"/>
  <c r="G40" i="2"/>
  <c r="F40" i="2"/>
  <c r="B40" i="2"/>
  <c r="I38" i="2"/>
  <c r="H38" i="2"/>
  <c r="D38" i="2"/>
  <c r="I37" i="2"/>
  <c r="H37" i="2"/>
  <c r="D37" i="2"/>
  <c r="I36" i="2"/>
  <c r="H36" i="2"/>
  <c r="D36" i="2"/>
  <c r="E14" i="2"/>
  <c r="D14" i="2"/>
  <c r="E13" i="2"/>
  <c r="D13" i="2"/>
  <c r="E12" i="2"/>
  <c r="D7" i="2"/>
  <c r="C7" i="2"/>
  <c r="B14" i="2" s="1"/>
  <c r="C14" i="2" s="1"/>
  <c r="G6" i="2"/>
  <c r="G5" i="2"/>
  <c r="G4" i="2"/>
  <c r="B8" i="1"/>
  <c r="C8" i="1" s="1"/>
  <c r="B4" i="1"/>
  <c r="H40" i="2" l="1"/>
  <c r="B48" i="1"/>
  <c r="B49" i="1"/>
  <c r="B19" i="1"/>
  <c r="B20" i="1" s="1"/>
  <c r="B23" i="1" s="1"/>
  <c r="B16" i="1"/>
  <c r="B17" i="1"/>
  <c r="B25" i="3"/>
  <c r="B24" i="3"/>
  <c r="B13" i="3"/>
  <c r="B14" i="3"/>
  <c r="B7" i="3"/>
  <c r="D40" i="2"/>
  <c r="E35" i="2" s="1"/>
  <c r="I40" i="2"/>
  <c r="I42" i="2" s="1"/>
  <c r="B11" i="2"/>
  <c r="C11" i="2" s="1"/>
  <c r="F11" i="2" s="1"/>
  <c r="G7" i="2"/>
  <c r="G8" i="2" s="1"/>
  <c r="F14" i="2"/>
  <c r="B12" i="2"/>
  <c r="C12" i="2" s="1"/>
  <c r="F12" i="2" s="1"/>
  <c r="B13" i="2"/>
  <c r="C13" i="2" s="1"/>
  <c r="F13" i="2" s="1"/>
  <c r="E37" i="2" l="1"/>
  <c r="E36" i="2"/>
  <c r="E40" i="2" s="1"/>
  <c r="H41" i="2" s="1"/>
  <c r="B22" i="1"/>
  <c r="E38" i="2"/>
  <c r="F15" i="2"/>
  <c r="F17" i="2" l="1"/>
  <c r="F16" i="2"/>
  <c r="H43" i="2"/>
  <c r="B19" i="2"/>
  <c r="B18" i="2"/>
  <c r="H44" i="2" l="1"/>
  <c r="H48" i="2"/>
  <c r="H49" i="2"/>
  <c r="H50" i="2" s="1"/>
  <c r="H46" i="2"/>
  <c r="H45" i="2"/>
</calcChain>
</file>

<file path=xl/sharedStrings.xml><?xml version="1.0" encoding="utf-8"?>
<sst xmlns="http://schemas.openxmlformats.org/spreadsheetml/2006/main" count="119" uniqueCount="79">
  <si>
    <t>Strate</t>
  </si>
  <si>
    <t>Catégorie</t>
  </si>
  <si>
    <t>Ouvriers</t>
  </si>
  <si>
    <t>Employés de bur.</t>
  </si>
  <si>
    <t>Cadres</t>
  </si>
  <si>
    <t>Cadres supérieurs</t>
  </si>
  <si>
    <t>Total</t>
  </si>
  <si>
    <t>Moy</t>
  </si>
  <si>
    <t>Wh</t>
  </si>
  <si>
    <t>wh^2</t>
  </si>
  <si>
    <t>1-fh</t>
  </si>
  <si>
    <t>var/nh</t>
  </si>
  <si>
    <t>wh^2*(1-fh)*var/nh</t>
  </si>
  <si>
    <t>p=Nh/N</t>
  </si>
  <si>
    <t>nh</t>
  </si>
  <si>
    <t>n</t>
  </si>
  <si>
    <t>N</t>
  </si>
  <si>
    <t>nc</t>
  </si>
  <si>
    <t>p</t>
  </si>
  <si>
    <t>f</t>
  </si>
  <si>
    <t>np</t>
  </si>
  <si>
    <t>n(1-p)</t>
  </si>
  <si>
    <t>var(p)</t>
  </si>
  <si>
    <t>zalpha/2</t>
  </si>
  <si>
    <t>Binf</t>
  </si>
  <si>
    <t>Bsup</t>
  </si>
  <si>
    <t>2) Calcul de l'IC pour la proportion</t>
  </si>
  <si>
    <t>a)         aucune idée du véritable pourcentage.</t>
  </si>
  <si>
    <t>b)         70% en se basant sur les autres fois.</t>
  </si>
  <si>
    <t>[0,87 0,91]</t>
  </si>
  <si>
    <t>IC</t>
  </si>
  <si>
    <t>Question 2</t>
  </si>
  <si>
    <t>Question 3</t>
  </si>
  <si>
    <t>Question 4</t>
  </si>
  <si>
    <t xml:space="preserve">1) taux de sondage </t>
  </si>
  <si>
    <t>2) Variance</t>
  </si>
  <si>
    <t>x.bar</t>
  </si>
  <si>
    <t>s^2</t>
  </si>
  <si>
    <t>var(x.bar)</t>
  </si>
  <si>
    <t>[2.63 2.87]</t>
  </si>
  <si>
    <t>Question 5</t>
  </si>
  <si>
    <t>Ecart-type en FCH sh</t>
  </si>
  <si>
    <t>Nb d’observations  nh</t>
  </si>
  <si>
    <t>Effectifs Nh</t>
  </si>
  <si>
    <t>Moyenne observée en CHF xh.bar</t>
  </si>
  <si>
    <t>Nh*xh.bar</t>
  </si>
  <si>
    <t>Somme</t>
  </si>
  <si>
    <t>[1435.5  1534.7]</t>
  </si>
  <si>
    <t>Nh</t>
  </si>
  <si>
    <t>sh</t>
  </si>
  <si>
    <t>Nh*sh</t>
  </si>
  <si>
    <t>wh</t>
  </si>
  <si>
    <t>wh*sh</t>
  </si>
  <si>
    <t>(somme(wh*sh))^2/n=</t>
  </si>
  <si>
    <t>wh*sh^2</t>
  </si>
  <si>
    <t>(somme(wh*sh^2/N=</t>
  </si>
  <si>
    <t>Ecart-type</t>
  </si>
  <si>
    <t>var(xopt.bar)=</t>
  </si>
  <si>
    <t>1-var(xopt.bar)/var(xprop).bar)=</t>
  </si>
  <si>
    <t>var(xopt.bar)/var(xprop).bar)=</t>
  </si>
  <si>
    <t xml:space="preserve">2) IC  avec une allocation proportionnelle </t>
  </si>
  <si>
    <t>3) IC  avec une allocation optimale</t>
  </si>
  <si>
    <r>
      <t>(</t>
    </r>
    <r>
      <rPr>
        <b/>
        <sz val="12"/>
        <color rgb="FF0070C0"/>
        <rFont val="Verdana"/>
        <family val="2"/>
      </rPr>
      <t xml:space="preserve">somme(wh*sh))^2/n </t>
    </r>
    <r>
      <rPr>
        <b/>
        <sz val="12"/>
        <color rgb="FF000000"/>
        <rFont val="Verdana"/>
        <family val="2"/>
      </rPr>
      <t>-</t>
    </r>
    <r>
      <rPr>
        <b/>
        <sz val="12"/>
        <color rgb="FF00B050"/>
        <rFont val="Verdana"/>
        <family val="2"/>
      </rPr>
      <t>somme(wh*sh^2/N</t>
    </r>
    <r>
      <rPr>
        <b/>
        <sz val="12"/>
        <color rgb="FF000000"/>
        <rFont val="Verdana"/>
        <family val="2"/>
      </rPr>
      <t xml:space="preserve"> =</t>
    </r>
  </si>
  <si>
    <t>[1437.8  1532.4]</t>
  </si>
  <si>
    <t>Question 6</t>
  </si>
  <si>
    <t>[0.06  0.17]</t>
  </si>
  <si>
    <t>1) IC</t>
  </si>
  <si>
    <t xml:space="preserve">2) IC pour le nombre d’articles mensuel </t>
  </si>
  <si>
    <t>Nc=N.p</t>
  </si>
  <si>
    <t>[311   832]</t>
  </si>
  <si>
    <t>précision, d</t>
  </si>
  <si>
    <r>
      <t>IC= Nc-/+1,96√var (N</t>
    </r>
    <r>
      <rPr>
        <vertAlign val="subscript"/>
        <sz val="16"/>
        <color theme="1"/>
        <rFont val="Verdana"/>
        <family val="2"/>
      </rPr>
      <t>C</t>
    </r>
    <r>
      <rPr>
        <sz val="16"/>
        <color theme="1"/>
        <rFont val="Verdana"/>
        <family val="2"/>
      </rPr>
      <t>)</t>
    </r>
  </si>
  <si>
    <t>var (NC)=N^2.var(p)</t>
  </si>
  <si>
    <t>Ecart-type (Nc)</t>
  </si>
  <si>
    <t>marge d'erreur</t>
  </si>
  <si>
    <t>précision (d) ou marge d'erreur</t>
  </si>
  <si>
    <t>var(xstrt)</t>
  </si>
  <si>
    <t>xstrt.bar</t>
  </si>
  <si>
    <t>Marge d'erreur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</si>
</sst>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19" x14ac:knownFonts="1">
    <font>
      <sz val="11"/>
      <color rgb="FF000000"/>
      <name val="Calibri"/>
      <family val="2"/>
    </font>
    <font>
      <sz val="16"/>
      <color rgb="FF000000"/>
      <name val="Verdana"/>
      <family val="2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2"/>
      <color rgb="FFFF0000"/>
      <name val="Verdana"/>
      <family val="2"/>
    </font>
    <font>
      <sz val="12"/>
      <color rgb="FFFF0000"/>
      <name val="Verdana"/>
      <family val="2"/>
    </font>
    <font>
      <b/>
      <sz val="12"/>
      <color rgb="FF0070C0"/>
      <name val="Verdana"/>
      <family val="2"/>
    </font>
    <font>
      <b/>
      <sz val="12"/>
      <color rgb="FF00B050"/>
      <name val="Verdana"/>
      <family val="2"/>
    </font>
    <font>
      <sz val="12"/>
      <color rgb="FF00B05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color rgb="FF000000"/>
      <name val="Verdana"/>
      <family val="2"/>
    </font>
    <font>
      <b/>
      <sz val="16"/>
      <color rgb="FFFF0000"/>
      <name val="Verdana"/>
      <family val="2"/>
    </font>
    <font>
      <sz val="16"/>
      <color theme="1"/>
      <name val="Verdana"/>
      <family val="2"/>
    </font>
    <font>
      <vertAlign val="subscript"/>
      <sz val="16"/>
      <color theme="1"/>
      <name val="Verdana"/>
      <family val="2"/>
    </font>
    <font>
      <sz val="16"/>
      <color rgb="FF000000"/>
      <name val="Calibri"/>
      <family val="2"/>
    </font>
    <font>
      <b/>
      <sz val="16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2" fontId="4" fillId="0" borderId="0" xfId="0" applyNumberFormat="1" applyFont="1"/>
    <xf numFmtId="165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0" xfId="0" applyNumberFormat="1" applyFont="1"/>
    <xf numFmtId="0" fontId="4" fillId="0" borderId="6" xfId="0" applyFont="1" applyBorder="1"/>
    <xf numFmtId="0" fontId="5" fillId="0" borderId="7" xfId="0" applyFont="1" applyBorder="1" applyAlignment="1">
      <alignment vertical="center" wrapText="1"/>
    </xf>
    <xf numFmtId="2" fontId="5" fillId="0" borderId="6" xfId="0" applyNumberFormat="1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11" fillId="0" borderId="0" xfId="0" applyNumberFormat="1" applyFont="1"/>
    <xf numFmtId="0" fontId="12" fillId="0" borderId="0" xfId="0" applyFont="1"/>
    <xf numFmtId="0" fontId="7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5" fillId="0" borderId="8" xfId="0" applyNumberFormat="1" applyFont="1" applyBorder="1"/>
    <xf numFmtId="166" fontId="7" fillId="0" borderId="0" xfId="0" applyNumberFormat="1" applyFont="1"/>
    <xf numFmtId="166" fontId="6" fillId="0" borderId="0" xfId="0" applyNumberFormat="1" applyFont="1"/>
    <xf numFmtId="0" fontId="7" fillId="0" borderId="6" xfId="0" applyFont="1" applyBorder="1"/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14" fillId="0" borderId="0" xfId="0" applyNumberFormat="1" applyFont="1"/>
    <xf numFmtId="0" fontId="14" fillId="0" borderId="0" xfId="0" applyFont="1"/>
    <xf numFmtId="2" fontId="1" fillId="0" borderId="0" xfId="0" applyNumberFormat="1" applyFont="1"/>
    <xf numFmtId="1" fontId="14" fillId="0" borderId="0" xfId="0" applyNumberFormat="1" applyFont="1"/>
    <xf numFmtId="166" fontId="1" fillId="0" borderId="0" xfId="0" applyNumberFormat="1" applyFont="1"/>
    <xf numFmtId="1" fontId="1" fillId="0" borderId="0" xfId="0" applyNumberFormat="1" applyFont="1"/>
    <xf numFmtId="0" fontId="15" fillId="0" borderId="0" xfId="0" applyFont="1" applyAlignment="1">
      <alignment vertical="center"/>
    </xf>
    <xf numFmtId="0" fontId="17" fillId="0" borderId="0" xfId="0" applyFont="1"/>
    <xf numFmtId="1" fontId="17" fillId="0" borderId="0" xfId="0" applyNumberFormat="1" applyFont="1"/>
    <xf numFmtId="0" fontId="13" fillId="0" borderId="0" xfId="0" applyFont="1"/>
    <xf numFmtId="0" fontId="18" fillId="0" borderId="0" xfId="0" applyFont="1"/>
    <xf numFmtId="166" fontId="14" fillId="0" borderId="0" xfId="0" applyNumberFormat="1" applyFont="1"/>
    <xf numFmtId="2" fontId="17" fillId="0" borderId="0" xfId="0" applyNumberFormat="1" applyFont="1"/>
    <xf numFmtId="164" fontId="14" fillId="0" borderId="0" xfId="0" applyNumberFormat="1" applyFont="1"/>
    <xf numFmtId="9" fontId="14" fillId="0" borderId="0" xfId="0" applyNumberFormat="1" applyFont="1"/>
    <xf numFmtId="165" fontId="14" fillId="0" borderId="0" xfId="0" applyNumberFormat="1" applyFont="1"/>
    <xf numFmtId="0" fontId="4" fillId="0" borderId="0" xfId="0" applyFont="1" applyAlignment="1">
      <alignment horizontal="left" vertical="center" indent="8"/>
    </xf>
    <xf numFmtId="0" fontId="13" fillId="0" borderId="0" xfId="0" applyFont="1" applyAlignment="1">
      <alignment horizontal="left" vertical="center" indent="8"/>
    </xf>
    <xf numFmtId="9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962025</xdr:colOff>
      <xdr:row>31</xdr:row>
      <xdr:rowOff>171450</xdr:rowOff>
    </xdr:from>
    <xdr:to>
      <xdr:col>5</xdr:col>
      <xdr:colOff>390525</xdr:colOff>
      <xdr:row>34</xdr:row>
      <xdr:rowOff>85725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7F2499B9-C6EE-4244-BBAC-65E56405A737}"/>
                </a:ext>
              </a:extLst>
            </xdr:cNvPr>
            <xdr:cNvSpPr txBox="1"/>
          </xdr:nvSpPr>
          <xdr:spPr>
            <a:xfrm>
              <a:off x="3248025" y="7543800"/>
              <a:ext cx="1924050" cy="542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CH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fr-CH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𝒏</m:t>
                        </m:r>
                      </m:e>
                      <m:sub>
                        <m:r>
                          <a:rPr lang="fr-CH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𝒉</m:t>
                        </m:r>
                      </m:sub>
                    </m:sSub>
                    <m:r>
                      <a:rPr lang="fr-CH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fr-CH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𝑵</m:t>
                            </m:r>
                          </m:e>
                          <m:sub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𝒉</m:t>
                            </m:r>
                          </m:sub>
                        </m:sSub>
                        <m:sSub>
                          <m:sSubPr>
                            <m:ctrlP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𝒔</m:t>
                            </m:r>
                          </m:e>
                          <m:sub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𝒉</m:t>
                            </m:r>
                          </m:sub>
                        </m:sSub>
                      </m:num>
                      <m:den>
                        <m:nary>
                          <m:naryPr>
                            <m:chr m:val="∑"/>
                            <m:ctrlP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𝟏</m:t>
                            </m:r>
                          </m:sub>
                          <m:sup>
                            <m:r>
                              <a:rPr lang="fr-CH" sz="1100" b="1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𝟒</m:t>
                            </m:r>
                          </m:sup>
                          <m:e>
                            <m:sSub>
                              <m:sSubPr>
                                <m:ctrlP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𝑵</m:t>
                                </m:r>
                              </m:e>
                              <m:sub>
                                <m: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𝒌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̂"/>
                                    <m:ctrlPr>
                                      <a:rPr lang="fr-CH" sz="1100" b="1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fr-CH" sz="1100" b="1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𝝈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fr-CH" sz="1100" b="1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𝒌</m:t>
                                </m:r>
                              </m:sub>
                            </m:sSub>
                          </m:e>
                        </m:nary>
                      </m:den>
                    </m:f>
                    <m:r>
                      <a:rPr lang="fr-CH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.</m:t>
                    </m:r>
                    <m:r>
                      <a:rPr lang="fr-CH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𝒏</m:t>
                    </m:r>
                  </m:oMath>
                </m:oMathPara>
              </a14:m>
              <a:endParaRPr lang="fr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fr-CH" sz="1100" b="1"/>
            </a:p>
          </xdr:txBody>
        </xdr:sp>
      </mc:Choice>
      <mc:Fallback xmlns="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7F2499B9-C6EE-4244-BBAC-65E56405A737}"/>
                </a:ext>
              </a:extLst>
            </xdr:cNvPr>
            <xdr:cNvSpPr txBox="1"/>
          </xdr:nvSpPr>
          <xdr:spPr>
            <a:xfrm>
              <a:off x="3248025" y="7543800"/>
              <a:ext cx="1924050" cy="542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CH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𝒏_𝒉=(𝑵_𝒉 𝒔_𝒉)/(∑_(𝒌=𝟏)^𝟒▒〖𝑵_𝒌 𝝈 ̂_𝒌 〗).𝒏</a:t>
              </a:r>
              <a:endParaRPr lang="fr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fr-CH" sz="1100" b="1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4B06-556B-43AE-855F-C5B4149F0057}">
  <dimension ref="A1:H52"/>
  <sheetViews>
    <sheetView workbookViewId="0">
      <selection activeCell="A3" activeCellId="4" sqref="A35 A40 A10 A6 A3"/>
    </sheetView>
  </sheetViews>
  <sheetFormatPr baseColWidth="10" defaultRowHeight="15" x14ac:dyDescent="0.25"/>
  <cols>
    <col min="1" max="1" width="53.85546875" customWidth="1"/>
    <col min="2" max="2" width="13.42578125" bestFit="1" customWidth="1"/>
    <col min="3" max="3" width="11.42578125" customWidth="1"/>
  </cols>
  <sheetData>
    <row r="1" spans="1:3" ht="18" x14ac:dyDescent="0.25">
      <c r="A1" s="3" t="s">
        <v>31</v>
      </c>
      <c r="B1" s="2"/>
    </row>
    <row r="2" spans="1:3" ht="18" x14ac:dyDescent="0.25">
      <c r="A2" s="2"/>
      <c r="B2" s="2"/>
    </row>
    <row r="3" spans="1:3" s="54" customFormat="1" ht="21" x14ac:dyDescent="0.35">
      <c r="A3" s="64" t="s">
        <v>27</v>
      </c>
      <c r="B3" s="1"/>
    </row>
    <row r="4" spans="1:3" s="54" customFormat="1" ht="21" x14ac:dyDescent="0.35">
      <c r="A4" s="1" t="s">
        <v>15</v>
      </c>
      <c r="B4" s="51">
        <f>(1.96/0.03)^2*0.5*0.5</f>
        <v>1067.1111111111109</v>
      </c>
      <c r="C4" s="55">
        <f>(1.96/0.03)^2*0.5*0.5</f>
        <v>1067.1111111111109</v>
      </c>
    </row>
    <row r="5" spans="1:3" s="54" customFormat="1" ht="21" x14ac:dyDescent="0.35">
      <c r="A5" s="1"/>
      <c r="B5" s="1"/>
    </row>
    <row r="6" spans="1:3" s="54" customFormat="1" ht="21" x14ac:dyDescent="0.35">
      <c r="A6" s="64" t="s">
        <v>28</v>
      </c>
      <c r="B6" s="1"/>
    </row>
    <row r="7" spans="1:3" s="54" customFormat="1" ht="21" x14ac:dyDescent="0.35">
      <c r="A7" s="1"/>
      <c r="B7" s="1"/>
    </row>
    <row r="8" spans="1:3" s="54" customFormat="1" ht="21" x14ac:dyDescent="0.35">
      <c r="A8" s="1" t="s">
        <v>15</v>
      </c>
      <c r="B8" s="1">
        <f>(1.96/0.03)^2*0.7*0.3</f>
        <v>896.37333333333299</v>
      </c>
      <c r="C8" s="55">
        <f>B8</f>
        <v>896.37333333333299</v>
      </c>
    </row>
    <row r="9" spans="1:3" s="54" customFormat="1" ht="21" x14ac:dyDescent="0.35">
      <c r="A9" s="1"/>
      <c r="B9" s="1"/>
    </row>
    <row r="10" spans="1:3" s="54" customFormat="1" ht="21" x14ac:dyDescent="0.35">
      <c r="A10" s="56" t="s">
        <v>26</v>
      </c>
      <c r="B10" s="1"/>
    </row>
    <row r="11" spans="1:3" s="54" customFormat="1" ht="21" x14ac:dyDescent="0.35">
      <c r="A11" s="1" t="s">
        <v>16</v>
      </c>
      <c r="B11" s="1">
        <v>10000</v>
      </c>
    </row>
    <row r="12" spans="1:3" s="54" customFormat="1" ht="21" x14ac:dyDescent="0.35">
      <c r="A12" s="1" t="s">
        <v>15</v>
      </c>
      <c r="B12" s="1">
        <v>800</v>
      </c>
    </row>
    <row r="13" spans="1:3" s="54" customFormat="1" ht="21" x14ac:dyDescent="0.35">
      <c r="A13" s="1" t="s">
        <v>17</v>
      </c>
      <c r="B13" s="1">
        <f>710</f>
        <v>710</v>
      </c>
    </row>
    <row r="14" spans="1:3" s="54" customFormat="1" ht="21" x14ac:dyDescent="0.35">
      <c r="A14" s="1" t="s">
        <v>18</v>
      </c>
      <c r="B14" s="1">
        <f>B13/B12</f>
        <v>0.88749999999999996</v>
      </c>
    </row>
    <row r="15" spans="1:3" s="54" customFormat="1" ht="21" x14ac:dyDescent="0.35">
      <c r="A15" s="1" t="s">
        <v>19</v>
      </c>
      <c r="B15" s="1">
        <f>B12/B11</f>
        <v>0.08</v>
      </c>
    </row>
    <row r="16" spans="1:3" s="54" customFormat="1" ht="21" x14ac:dyDescent="0.35">
      <c r="A16" s="1" t="s">
        <v>20</v>
      </c>
      <c r="B16" s="1">
        <f>B14*B12</f>
        <v>710</v>
      </c>
    </row>
    <row r="17" spans="1:2" s="54" customFormat="1" ht="21" x14ac:dyDescent="0.35">
      <c r="A17" s="1" t="s">
        <v>21</v>
      </c>
      <c r="B17" s="1">
        <f>(1-B14)*B12</f>
        <v>90.000000000000028</v>
      </c>
    </row>
    <row r="18" spans="1:2" s="54" customFormat="1" ht="21" x14ac:dyDescent="0.35">
      <c r="A18" s="1" t="s">
        <v>23</v>
      </c>
      <c r="B18" s="1">
        <v>1.96</v>
      </c>
    </row>
    <row r="19" spans="1:2" s="54" customFormat="1" ht="21" x14ac:dyDescent="0.35">
      <c r="A19" s="1" t="s">
        <v>22</v>
      </c>
      <c r="B19" s="1">
        <f>((1-B15)*B14*(1-B14))/(B12-1)</f>
        <v>1.1496401752190243E-4</v>
      </c>
    </row>
    <row r="20" spans="1:2" s="54" customFormat="1" ht="21" x14ac:dyDescent="0.35">
      <c r="A20" s="1" t="s">
        <v>75</v>
      </c>
      <c r="B20" s="1">
        <f>B18*SQRT(B19)</f>
        <v>2.10153698447622E-2</v>
      </c>
    </row>
    <row r="21" spans="1:2" s="54" customFormat="1" ht="21" x14ac:dyDescent="0.35"/>
    <row r="22" spans="1:2" s="54" customFormat="1" ht="21" x14ac:dyDescent="0.35">
      <c r="A22" s="47" t="s">
        <v>24</v>
      </c>
      <c r="B22" s="47">
        <f>B14-B20</f>
        <v>0.8664846301552378</v>
      </c>
    </row>
    <row r="23" spans="1:2" s="54" customFormat="1" ht="21" x14ac:dyDescent="0.35">
      <c r="A23" s="47" t="s">
        <v>25</v>
      </c>
      <c r="B23" s="47">
        <f>B14+B20</f>
        <v>0.90851536984476211</v>
      </c>
    </row>
    <row r="24" spans="1:2" s="54" customFormat="1" ht="21" x14ac:dyDescent="0.35">
      <c r="A24" s="47" t="s">
        <v>30</v>
      </c>
      <c r="B24" s="47" t="s">
        <v>29</v>
      </c>
    </row>
    <row r="25" spans="1:2" s="54" customFormat="1" ht="21" x14ac:dyDescent="0.35"/>
    <row r="26" spans="1:2" s="54" customFormat="1" ht="21" x14ac:dyDescent="0.35"/>
    <row r="27" spans="1:2" s="54" customFormat="1" ht="21" x14ac:dyDescent="0.35"/>
    <row r="28" spans="1:2" s="54" customFormat="1" ht="21" x14ac:dyDescent="0.35"/>
    <row r="29" spans="1:2" s="54" customFormat="1" ht="21" x14ac:dyDescent="0.35">
      <c r="A29" s="56" t="s">
        <v>32</v>
      </c>
    </row>
    <row r="30" spans="1:2" s="54" customFormat="1" ht="21" x14ac:dyDescent="0.35"/>
    <row r="31" spans="1:2" s="54" customFormat="1" ht="21" x14ac:dyDescent="0.35">
      <c r="A31" s="57" t="s">
        <v>15</v>
      </c>
      <c r="B31" s="58">
        <f>(1.96/2500)^2*15000^2</f>
        <v>138.29759999999999</v>
      </c>
    </row>
    <row r="32" spans="1:2" s="54" customFormat="1" ht="21" x14ac:dyDescent="0.35"/>
    <row r="33" spans="1:8" s="54" customFormat="1" ht="21" x14ac:dyDescent="0.35">
      <c r="A33" s="56" t="s">
        <v>33</v>
      </c>
    </row>
    <row r="34" spans="1:8" s="54" customFormat="1" ht="21" x14ac:dyDescent="0.35"/>
    <row r="35" spans="1:8" s="54" customFormat="1" ht="21" x14ac:dyDescent="0.35">
      <c r="A35" s="56" t="s">
        <v>34</v>
      </c>
      <c r="B35" s="1"/>
      <c r="C35" s="1"/>
    </row>
    <row r="36" spans="1:8" s="54" customFormat="1" ht="21" x14ac:dyDescent="0.35">
      <c r="A36" s="1" t="s">
        <v>16</v>
      </c>
      <c r="B36" s="1">
        <v>1200</v>
      </c>
      <c r="C36" s="1"/>
      <c r="H36" s="59"/>
    </row>
    <row r="37" spans="1:8" s="54" customFormat="1" ht="21" x14ac:dyDescent="0.35">
      <c r="A37" s="1" t="s">
        <v>15</v>
      </c>
      <c r="B37" s="1">
        <v>85</v>
      </c>
      <c r="C37" s="1"/>
      <c r="H37" s="59"/>
    </row>
    <row r="38" spans="1:8" s="54" customFormat="1" ht="21" x14ac:dyDescent="0.35">
      <c r="A38" s="48" t="s">
        <v>19</v>
      </c>
      <c r="B38" s="60">
        <f>B37/B36</f>
        <v>7.0833333333333331E-2</v>
      </c>
      <c r="C38" s="61">
        <f>B38</f>
        <v>7.0833333333333331E-2</v>
      </c>
      <c r="H38" s="59"/>
    </row>
    <row r="39" spans="1:8" s="54" customFormat="1" ht="21" x14ac:dyDescent="0.35">
      <c r="A39" s="1"/>
      <c r="B39" s="1"/>
      <c r="C39" s="1"/>
      <c r="H39" s="59"/>
    </row>
    <row r="40" spans="1:8" s="54" customFormat="1" ht="21" x14ac:dyDescent="0.35">
      <c r="A40" s="56" t="s">
        <v>35</v>
      </c>
      <c r="B40" s="1"/>
      <c r="C40" s="1"/>
      <c r="H40" s="59"/>
    </row>
    <row r="41" spans="1:8" s="54" customFormat="1" ht="21" x14ac:dyDescent="0.35">
      <c r="A41" s="1" t="s">
        <v>23</v>
      </c>
      <c r="B41" s="1">
        <v>1.96</v>
      </c>
      <c r="C41" s="1"/>
      <c r="H41" s="59"/>
    </row>
    <row r="42" spans="1:8" s="54" customFormat="1" ht="21" x14ac:dyDescent="0.35">
      <c r="A42" s="1" t="s">
        <v>37</v>
      </c>
      <c r="B42" s="1">
        <v>0.35</v>
      </c>
      <c r="C42" s="1"/>
      <c r="H42" s="59"/>
    </row>
    <row r="43" spans="1:8" s="54" customFormat="1" ht="21" x14ac:dyDescent="0.35">
      <c r="A43" s="1" t="s">
        <v>36</v>
      </c>
      <c r="B43" s="1">
        <v>2.75</v>
      </c>
      <c r="C43" s="1"/>
    </row>
    <row r="44" spans="1:8" s="54" customFormat="1" ht="21" x14ac:dyDescent="0.35">
      <c r="A44" s="1"/>
      <c r="B44" s="1"/>
      <c r="C44" s="1"/>
    </row>
    <row r="45" spans="1:8" s="54" customFormat="1" ht="21" x14ac:dyDescent="0.35">
      <c r="A45" s="48" t="s">
        <v>38</v>
      </c>
      <c r="B45" s="62">
        <f>(1-B38)*B42/B37</f>
        <v>3.8259803921568626E-3</v>
      </c>
      <c r="C45" s="1"/>
    </row>
    <row r="46" spans="1:8" s="54" customFormat="1" ht="21" x14ac:dyDescent="0.35">
      <c r="A46" s="1"/>
      <c r="B46" s="1"/>
      <c r="C46" s="1"/>
    </row>
    <row r="47" spans="1:8" s="54" customFormat="1" ht="21" x14ac:dyDescent="0.35">
      <c r="A47" s="1" t="s">
        <v>74</v>
      </c>
      <c r="B47" s="1">
        <f>1.96*SQRT(B45)</f>
        <v>0.1212348393594424</v>
      </c>
      <c r="C47" s="1"/>
    </row>
    <row r="48" spans="1:8" s="54" customFormat="1" ht="21" x14ac:dyDescent="0.35">
      <c r="A48" s="47" t="s">
        <v>24</v>
      </c>
      <c r="B48" s="1">
        <f>B43-B47</f>
        <v>2.6287651606405578</v>
      </c>
      <c r="C48" s="1"/>
    </row>
    <row r="49" spans="1:3" s="54" customFormat="1" ht="21" x14ac:dyDescent="0.35">
      <c r="A49" s="47" t="s">
        <v>25</v>
      </c>
      <c r="B49" s="1">
        <f>B43+B47</f>
        <v>2.8712348393594422</v>
      </c>
      <c r="C49" s="1"/>
    </row>
    <row r="50" spans="1:3" s="54" customFormat="1" ht="21" x14ac:dyDescent="0.35">
      <c r="A50" s="47" t="s">
        <v>30</v>
      </c>
      <c r="B50" s="1" t="s">
        <v>39</v>
      </c>
      <c r="C50" s="1"/>
    </row>
    <row r="51" spans="1:3" s="54" customFormat="1" ht="21" x14ac:dyDescent="0.35"/>
    <row r="52" spans="1:3" s="54" customFormat="1" ht="21" x14ac:dyDescent="0.35"/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09277-923F-46EA-A722-57C019397682}">
  <dimension ref="A1:I50"/>
  <sheetViews>
    <sheetView tabSelected="1" topLeftCell="A16" workbookViewId="0">
      <selection activeCell="K53" sqref="K53"/>
    </sheetView>
  </sheetViews>
  <sheetFormatPr baseColWidth="10" defaultRowHeight="15" x14ac:dyDescent="0.25"/>
  <cols>
    <col min="1" max="1" width="11.42578125" customWidth="1"/>
    <col min="2" max="2" width="13.28515625" customWidth="1"/>
    <col min="3" max="3" width="11.42578125" customWidth="1"/>
    <col min="4" max="4" width="17.7109375" bestFit="1" customWidth="1"/>
    <col min="5" max="5" width="19.7109375" customWidth="1"/>
    <col min="6" max="6" width="30.28515625" customWidth="1"/>
    <col min="7" max="7" width="26.7109375" customWidth="1"/>
  </cols>
  <sheetData>
    <row r="1" spans="1:9" ht="18.75" thickBot="1" x14ac:dyDescent="0.3">
      <c r="A1" s="3" t="s">
        <v>40</v>
      </c>
    </row>
    <row r="2" spans="1:9" ht="45.75" thickBot="1" x14ac:dyDescent="0.3">
      <c r="A2" s="4" t="s">
        <v>0</v>
      </c>
      <c r="B2" s="5" t="s">
        <v>1</v>
      </c>
      <c r="C2" s="5" t="s">
        <v>43</v>
      </c>
      <c r="D2" s="5" t="s">
        <v>42</v>
      </c>
      <c r="E2" s="5" t="s">
        <v>44</v>
      </c>
      <c r="F2" s="6" t="s">
        <v>41</v>
      </c>
      <c r="G2" s="7" t="s">
        <v>45</v>
      </c>
      <c r="H2" s="8"/>
      <c r="I2" s="8"/>
    </row>
    <row r="3" spans="1:9" ht="16.5" thickBot="1" x14ac:dyDescent="0.3">
      <c r="A3" s="9">
        <v>1</v>
      </c>
      <c r="B3" s="10" t="s">
        <v>2</v>
      </c>
      <c r="C3" s="11">
        <v>500</v>
      </c>
      <c r="D3" s="11">
        <v>50</v>
      </c>
      <c r="E3" s="11">
        <v>1300</v>
      </c>
      <c r="F3" s="12">
        <v>200</v>
      </c>
      <c r="G3" s="13">
        <f>C3*E3</f>
        <v>650000</v>
      </c>
      <c r="H3" s="8"/>
      <c r="I3" s="8"/>
    </row>
    <row r="4" spans="1:9" ht="30.75" thickBot="1" x14ac:dyDescent="0.3">
      <c r="A4" s="9">
        <v>2</v>
      </c>
      <c r="B4" s="10" t="s">
        <v>3</v>
      </c>
      <c r="C4" s="11">
        <v>300</v>
      </c>
      <c r="D4" s="11">
        <v>30</v>
      </c>
      <c r="E4" s="11">
        <v>1400</v>
      </c>
      <c r="F4" s="12">
        <v>250</v>
      </c>
      <c r="G4" s="13">
        <f>C4*E4</f>
        <v>420000</v>
      </c>
      <c r="H4" s="8"/>
      <c r="I4" s="8"/>
    </row>
    <row r="5" spans="1:9" ht="16.5" thickBot="1" x14ac:dyDescent="0.3">
      <c r="A5" s="9">
        <v>3</v>
      </c>
      <c r="B5" s="10" t="s">
        <v>4</v>
      </c>
      <c r="C5" s="11">
        <v>120</v>
      </c>
      <c r="D5" s="11">
        <v>12</v>
      </c>
      <c r="E5" s="11">
        <v>2200</v>
      </c>
      <c r="F5" s="12">
        <v>400</v>
      </c>
      <c r="G5" s="13">
        <f>C5*E5</f>
        <v>264000</v>
      </c>
      <c r="H5" s="8"/>
      <c r="I5" s="8"/>
    </row>
    <row r="6" spans="1:9" ht="45.75" thickBot="1" x14ac:dyDescent="0.3">
      <c r="A6" s="9">
        <v>4</v>
      </c>
      <c r="B6" s="10" t="s">
        <v>5</v>
      </c>
      <c r="C6" s="11">
        <v>20</v>
      </c>
      <c r="D6" s="11">
        <v>2</v>
      </c>
      <c r="E6" s="11">
        <v>3100</v>
      </c>
      <c r="F6" s="12">
        <v>500</v>
      </c>
      <c r="G6" s="13">
        <f>C6*E6</f>
        <v>62000</v>
      </c>
      <c r="H6" s="8"/>
      <c r="I6" s="8"/>
    </row>
    <row r="7" spans="1:9" ht="15.75" x14ac:dyDescent="0.25">
      <c r="A7" s="14" t="s">
        <v>6</v>
      </c>
      <c r="B7" s="14"/>
      <c r="C7" s="15">
        <f>SUM(C3:C6)</f>
        <v>940</v>
      </c>
      <c r="D7" s="15">
        <f>SUM(D3:D6)</f>
        <v>94</v>
      </c>
      <c r="E7" s="8"/>
      <c r="F7" s="8"/>
      <c r="G7" s="14">
        <f>SUM(G3:G6)</f>
        <v>1396000</v>
      </c>
      <c r="H7" s="8"/>
      <c r="I7" s="8"/>
    </row>
    <row r="8" spans="1:9" ht="15.75" x14ac:dyDescent="0.25">
      <c r="A8" s="16" t="s">
        <v>7</v>
      </c>
      <c r="B8" s="14"/>
      <c r="C8" s="14"/>
      <c r="D8" s="14"/>
      <c r="E8" s="17"/>
      <c r="F8" s="16" t="s">
        <v>77</v>
      </c>
      <c r="G8" s="16">
        <f>G7/C7</f>
        <v>1485.1063829787233</v>
      </c>
      <c r="H8" s="8"/>
      <c r="I8" s="8"/>
    </row>
    <row r="9" spans="1:9" ht="15.75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x14ac:dyDescent="0.25">
      <c r="A10" s="8"/>
      <c r="B10" s="14" t="s">
        <v>8</v>
      </c>
      <c r="C10" s="14" t="s">
        <v>9</v>
      </c>
      <c r="D10" s="14" t="s">
        <v>10</v>
      </c>
      <c r="E10" s="14" t="s">
        <v>11</v>
      </c>
      <c r="F10" s="14" t="s">
        <v>12</v>
      </c>
      <c r="G10" s="8"/>
      <c r="H10" s="8"/>
      <c r="I10" s="8"/>
    </row>
    <row r="11" spans="1:9" ht="15.75" x14ac:dyDescent="0.25">
      <c r="A11" s="8"/>
      <c r="B11" s="18">
        <f>C3/C7</f>
        <v>0.53191489361702127</v>
      </c>
      <c r="C11" s="18">
        <f>B11^2</f>
        <v>0.28293345405160703</v>
      </c>
      <c r="D11" s="19">
        <f>1-(D3/C3)</f>
        <v>0.9</v>
      </c>
      <c r="E11" s="19">
        <f>F3^2/D3</f>
        <v>800</v>
      </c>
      <c r="F11" s="19">
        <f>C11*D11*E11</f>
        <v>203.71208691715705</v>
      </c>
      <c r="G11" s="20"/>
      <c r="H11" s="20"/>
      <c r="I11" s="8"/>
    </row>
    <row r="12" spans="1:9" ht="15.75" x14ac:dyDescent="0.25">
      <c r="A12" s="8"/>
      <c r="B12" s="18">
        <f>C4/C7</f>
        <v>0.31914893617021278</v>
      </c>
      <c r="C12" s="18">
        <f>B12^2</f>
        <v>0.10185604345857856</v>
      </c>
      <c r="D12" s="19">
        <f>1-(D4/C4)</f>
        <v>0.9</v>
      </c>
      <c r="E12" s="19">
        <f>F4^2/D4</f>
        <v>2083.3333333333335</v>
      </c>
      <c r="F12" s="19">
        <f>C12*D12*E12</f>
        <v>190.98008148483481</v>
      </c>
      <c r="G12" s="20"/>
      <c r="H12" s="20"/>
      <c r="I12" s="8"/>
    </row>
    <row r="13" spans="1:9" ht="15.75" x14ac:dyDescent="0.25">
      <c r="A13" s="8"/>
      <c r="B13" s="18">
        <f>C5/C7</f>
        <v>0.1276595744680851</v>
      </c>
      <c r="C13" s="18">
        <f>B13^2</f>
        <v>1.6296966953372564E-2</v>
      </c>
      <c r="D13" s="19">
        <f>1-(D5/C5)</f>
        <v>0.9</v>
      </c>
      <c r="E13" s="19">
        <f>F5^2/D5</f>
        <v>13333.333333333334</v>
      </c>
      <c r="F13" s="19">
        <f>C13*D13*E13</f>
        <v>195.56360344047079</v>
      </c>
      <c r="G13" s="20"/>
      <c r="H13" s="20"/>
      <c r="I13" s="8"/>
    </row>
    <row r="14" spans="1:9" ht="15.75" x14ac:dyDescent="0.25">
      <c r="A14" s="8"/>
      <c r="B14" s="18">
        <f>C6/C7</f>
        <v>2.1276595744680851E-2</v>
      </c>
      <c r="C14" s="18">
        <f>B14^2</f>
        <v>4.526935264825713E-4</v>
      </c>
      <c r="D14" s="19">
        <f>1-(D6/C6)</f>
        <v>0.9</v>
      </c>
      <c r="E14" s="19">
        <f>F6^2/D6</f>
        <v>125000</v>
      </c>
      <c r="F14" s="19">
        <f>C14*D14*E14</f>
        <v>50.92802172928927</v>
      </c>
      <c r="G14" s="20"/>
      <c r="H14" s="20"/>
      <c r="I14" s="8"/>
    </row>
    <row r="15" spans="1:9" ht="15.75" x14ac:dyDescent="0.25">
      <c r="A15" s="14" t="s">
        <v>46</v>
      </c>
      <c r="B15" s="15"/>
      <c r="C15" s="15"/>
      <c r="D15" s="15"/>
      <c r="E15" s="15" t="s">
        <v>76</v>
      </c>
      <c r="F15" s="21">
        <f>SUM(F11:F14)</f>
        <v>641.18379357175195</v>
      </c>
      <c r="G15" s="8"/>
      <c r="H15" s="20"/>
      <c r="I15" s="8"/>
    </row>
    <row r="16" spans="1:9" ht="15.75" x14ac:dyDescent="0.25">
      <c r="A16" s="8"/>
      <c r="B16" s="20"/>
      <c r="C16" s="20"/>
      <c r="D16" s="20"/>
      <c r="E16" t="s">
        <v>56</v>
      </c>
      <c r="F16" s="19">
        <f>SQRT(F15)</f>
        <v>25.321607247008473</v>
      </c>
      <c r="G16" s="20"/>
      <c r="H16" s="20"/>
      <c r="I16" s="8"/>
    </row>
    <row r="17" spans="1:9" ht="15.75" x14ac:dyDescent="0.25">
      <c r="A17" s="8"/>
      <c r="B17" s="20"/>
      <c r="C17" s="20"/>
      <c r="D17" s="20"/>
      <c r="E17" s="20" t="s">
        <v>78</v>
      </c>
      <c r="F17" s="20">
        <f>1.96*SQRT(F15)</f>
        <v>49.630350204136604</v>
      </c>
      <c r="G17" s="20"/>
      <c r="H17" s="20"/>
      <c r="I17" s="8"/>
    </row>
    <row r="18" spans="1:9" ht="15.75" x14ac:dyDescent="0.25">
      <c r="A18" s="22" t="s">
        <v>24</v>
      </c>
      <c r="B18" s="43">
        <f>G8-F17</f>
        <v>1435.4760327745867</v>
      </c>
      <c r="C18" s="16"/>
      <c r="D18" s="8"/>
      <c r="G18" s="8"/>
      <c r="H18" s="8"/>
      <c r="I18" s="8"/>
    </row>
    <row r="19" spans="1:9" ht="15.75" x14ac:dyDescent="0.25">
      <c r="A19" s="22" t="s">
        <v>25</v>
      </c>
      <c r="B19" s="43">
        <f>G8+F17</f>
        <v>1534.73673318286</v>
      </c>
      <c r="C19" s="16"/>
      <c r="D19" s="8"/>
      <c r="E19" s="8"/>
      <c r="F19" s="8"/>
      <c r="G19" s="8"/>
      <c r="H19" s="8"/>
      <c r="I19" s="8"/>
    </row>
    <row r="20" spans="1:9" ht="15.75" x14ac:dyDescent="0.25">
      <c r="A20" s="22" t="s">
        <v>30</v>
      </c>
      <c r="B20" s="16" t="s">
        <v>47</v>
      </c>
      <c r="C20" s="16"/>
      <c r="D20" s="8"/>
      <c r="E20" s="8"/>
      <c r="F20" s="8"/>
      <c r="G20" s="8"/>
      <c r="H20" s="8"/>
      <c r="I20" s="8"/>
    </row>
    <row r="21" spans="1:9" ht="15.75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ht="15.75" x14ac:dyDescent="0.25">
      <c r="A22" s="63" t="s">
        <v>60</v>
      </c>
      <c r="B22" s="8"/>
      <c r="C22" s="8"/>
      <c r="D22" s="8"/>
      <c r="E22" s="8"/>
      <c r="F22" s="8"/>
      <c r="G22" s="8"/>
      <c r="H22" s="8"/>
      <c r="I22" s="8"/>
    </row>
    <row r="23" spans="1:9" ht="15.75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ht="16.5" thickBot="1" x14ac:dyDescent="0.3">
      <c r="A24" s="8"/>
      <c r="B24" s="8"/>
      <c r="C24" s="8"/>
      <c r="D24" s="8"/>
      <c r="E24" s="8"/>
      <c r="F24" s="8"/>
      <c r="G24" s="8"/>
      <c r="H24" s="8"/>
      <c r="I24" s="8"/>
    </row>
    <row r="25" spans="1:9" ht="30.75" thickBot="1" x14ac:dyDescent="0.3">
      <c r="A25" s="4" t="s">
        <v>0</v>
      </c>
      <c r="B25" s="6" t="s">
        <v>1</v>
      </c>
      <c r="C25" s="23" t="s">
        <v>13</v>
      </c>
      <c r="D25" s="23" t="s">
        <v>14</v>
      </c>
      <c r="E25" s="8"/>
      <c r="F25" s="8"/>
      <c r="G25" s="8"/>
      <c r="H25" s="8"/>
      <c r="I25" s="8"/>
    </row>
    <row r="26" spans="1:9" ht="16.5" thickBot="1" x14ac:dyDescent="0.3">
      <c r="A26" s="9">
        <v>1</v>
      </c>
      <c r="B26" s="24" t="s">
        <v>2</v>
      </c>
      <c r="C26" s="25">
        <v>0.53191489361702127</v>
      </c>
      <c r="D26" s="44">
        <v>50</v>
      </c>
      <c r="E26" s="8"/>
      <c r="F26" s="8"/>
      <c r="G26" s="8"/>
      <c r="H26" s="8"/>
      <c r="I26" s="8"/>
    </row>
    <row r="27" spans="1:9" ht="30.75" thickBot="1" x14ac:dyDescent="0.3">
      <c r="A27" s="9">
        <v>2</v>
      </c>
      <c r="B27" s="24" t="s">
        <v>3</v>
      </c>
      <c r="C27" s="25">
        <v>0.31914893617021278</v>
      </c>
      <c r="D27" s="44">
        <v>30</v>
      </c>
      <c r="E27" s="8"/>
      <c r="F27" s="8"/>
      <c r="G27" s="8"/>
      <c r="H27" s="8"/>
      <c r="I27" s="8"/>
    </row>
    <row r="28" spans="1:9" ht="16.5" thickBot="1" x14ac:dyDescent="0.3">
      <c r="A28" s="9">
        <v>3</v>
      </c>
      <c r="B28" s="24" t="s">
        <v>4</v>
      </c>
      <c r="C28" s="25">
        <v>0.1276595744680851</v>
      </c>
      <c r="D28" s="44">
        <v>11.999999999999998</v>
      </c>
      <c r="E28" s="8"/>
      <c r="F28" s="8"/>
      <c r="G28" s="8"/>
      <c r="H28" s="8"/>
      <c r="I28" s="8"/>
    </row>
    <row r="29" spans="1:9" ht="45.75" thickBot="1" x14ac:dyDescent="0.3">
      <c r="A29" s="9">
        <v>4</v>
      </c>
      <c r="B29" s="24" t="s">
        <v>5</v>
      </c>
      <c r="C29" s="25">
        <v>2.1276595744680851E-2</v>
      </c>
      <c r="D29" s="44">
        <v>2</v>
      </c>
      <c r="E29" s="8"/>
      <c r="F29" s="8"/>
      <c r="G29" s="8"/>
      <c r="H29" s="8"/>
      <c r="I29" s="8"/>
    </row>
    <row r="30" spans="1:9" ht="15.75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ht="15.75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ht="15.75" x14ac:dyDescent="0.25">
      <c r="A32" s="63" t="s">
        <v>61</v>
      </c>
      <c r="B32" s="8"/>
      <c r="C32" s="8"/>
      <c r="D32" s="8"/>
      <c r="E32" s="8"/>
      <c r="F32" s="8"/>
      <c r="G32" s="8"/>
      <c r="H32" s="8"/>
      <c r="I32" s="8"/>
    </row>
    <row r="33" spans="1:9" ht="15.75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ht="15.75" x14ac:dyDescent="0.25">
      <c r="A34" s="8"/>
      <c r="B34" s="15" t="s">
        <v>48</v>
      </c>
      <c r="C34" s="15" t="s">
        <v>49</v>
      </c>
      <c r="D34" s="15" t="s">
        <v>50</v>
      </c>
      <c r="E34" s="15"/>
      <c r="F34" s="40" t="s">
        <v>14</v>
      </c>
      <c r="G34" s="40" t="s">
        <v>51</v>
      </c>
      <c r="H34" s="40" t="s">
        <v>52</v>
      </c>
      <c r="I34" s="40" t="s">
        <v>54</v>
      </c>
    </row>
    <row r="35" spans="1:9" ht="15.75" x14ac:dyDescent="0.25">
      <c r="A35" s="8"/>
      <c r="B35" s="26">
        <v>500</v>
      </c>
      <c r="C35" s="26">
        <v>200</v>
      </c>
      <c r="D35" s="27">
        <f>B35*C35</f>
        <v>100000</v>
      </c>
      <c r="E35" s="39">
        <f>D35*94/D40</f>
        <v>40.343347639484982</v>
      </c>
      <c r="F35" s="28">
        <v>40</v>
      </c>
      <c r="G35" s="41">
        <v>0.53191489361702105</v>
      </c>
      <c r="H35" s="13">
        <f>G35*C35</f>
        <v>106.38297872340421</v>
      </c>
      <c r="I35" s="13">
        <f>G35*C35^2</f>
        <v>21276.595744680842</v>
      </c>
    </row>
    <row r="36" spans="1:9" ht="15.75" x14ac:dyDescent="0.25">
      <c r="A36" s="8"/>
      <c r="B36" s="26">
        <v>300</v>
      </c>
      <c r="C36" s="26">
        <v>250</v>
      </c>
      <c r="D36" s="27">
        <f t="shared" ref="D36:D38" si="0">B36*C36</f>
        <v>75000</v>
      </c>
      <c r="E36" s="39">
        <f>D36*94/D40</f>
        <v>30.257510729613735</v>
      </c>
      <c r="F36" s="28">
        <v>30</v>
      </c>
      <c r="G36" s="41">
        <v>0.31914893617021278</v>
      </c>
      <c r="H36" s="13">
        <f t="shared" ref="H36:H38" si="1">G36*C36</f>
        <v>79.787234042553195</v>
      </c>
      <c r="I36" s="13">
        <f t="shared" ref="I36:I38" si="2">G36*C36^2</f>
        <v>19946.808510638301</v>
      </c>
    </row>
    <row r="37" spans="1:9" ht="15.75" x14ac:dyDescent="0.25">
      <c r="A37" s="8"/>
      <c r="B37" s="26">
        <v>120</v>
      </c>
      <c r="C37" s="26">
        <v>400</v>
      </c>
      <c r="D37" s="27">
        <f t="shared" si="0"/>
        <v>48000</v>
      </c>
      <c r="E37" s="39">
        <f>D37*94/D40</f>
        <v>19.36480686695279</v>
      </c>
      <c r="F37" s="28">
        <v>20</v>
      </c>
      <c r="G37" s="41">
        <v>0.1276595744680851</v>
      </c>
      <c r="H37" s="13">
        <f t="shared" si="1"/>
        <v>51.063829787234042</v>
      </c>
      <c r="I37" s="13">
        <f t="shared" si="2"/>
        <v>20425.531914893614</v>
      </c>
    </row>
    <row r="38" spans="1:9" ht="15.75" x14ac:dyDescent="0.25">
      <c r="A38" s="8"/>
      <c r="B38" s="26">
        <v>20</v>
      </c>
      <c r="C38" s="26">
        <v>500</v>
      </c>
      <c r="D38" s="27">
        <f t="shared" si="0"/>
        <v>10000</v>
      </c>
      <c r="E38" s="39">
        <f>D38*94/D40</f>
        <v>4.0343347639484977</v>
      </c>
      <c r="F38" s="28">
        <v>4</v>
      </c>
      <c r="G38" s="41">
        <v>2.1276595744680851E-2</v>
      </c>
      <c r="H38" s="13">
        <f t="shared" si="1"/>
        <v>10.638297872340425</v>
      </c>
      <c r="I38" s="13">
        <f t="shared" si="2"/>
        <v>5319.1489361702124</v>
      </c>
    </row>
    <row r="39" spans="1:9" ht="15.75" x14ac:dyDescent="0.25">
      <c r="A39" s="8"/>
      <c r="B39" s="29"/>
      <c r="C39" s="29"/>
      <c r="D39" s="20"/>
      <c r="E39" s="20"/>
      <c r="F39" s="20"/>
      <c r="G39" s="30"/>
      <c r="H39" s="8"/>
      <c r="I39" s="8"/>
    </row>
    <row r="40" spans="1:9" ht="15.75" x14ac:dyDescent="0.25">
      <c r="A40" s="14" t="s">
        <v>46</v>
      </c>
      <c r="B40" s="15">
        <f>SUM(B35:B38)</f>
        <v>940</v>
      </c>
      <c r="C40" s="15"/>
      <c r="D40" s="15">
        <f t="shared" ref="D40:I40" si="3">SUM(D35:D38)</f>
        <v>233000</v>
      </c>
      <c r="E40" s="15">
        <f t="shared" si="3"/>
        <v>94</v>
      </c>
      <c r="F40" s="20">
        <f t="shared" si="3"/>
        <v>94</v>
      </c>
      <c r="G40" s="8">
        <f t="shared" si="3"/>
        <v>0.99999999999999978</v>
      </c>
      <c r="H40" s="14">
        <f>SUM(H35:H38)</f>
        <v>247.87234042553186</v>
      </c>
      <c r="I40" s="14">
        <f t="shared" si="3"/>
        <v>66968.085106382961</v>
      </c>
    </row>
    <row r="41" spans="1:9" ht="15.75" x14ac:dyDescent="0.25">
      <c r="A41" s="8"/>
      <c r="B41" s="8"/>
      <c r="C41" s="8"/>
      <c r="D41" s="8"/>
      <c r="E41" s="8"/>
      <c r="F41" s="31" t="s">
        <v>53</v>
      </c>
      <c r="G41" s="15"/>
      <c r="H41" s="31">
        <f>H40^2/E40</f>
        <v>653.62443774500798</v>
      </c>
      <c r="I41" s="8"/>
    </row>
    <row r="42" spans="1:9" ht="15.75" x14ac:dyDescent="0.25">
      <c r="A42" s="8"/>
      <c r="B42" s="8"/>
      <c r="C42" s="8"/>
      <c r="D42" s="8"/>
      <c r="E42" s="8"/>
      <c r="F42" s="32" t="s">
        <v>55</v>
      </c>
      <c r="G42" s="8"/>
      <c r="H42" s="8"/>
      <c r="I42" s="33">
        <f>I40/B40</f>
        <v>71.242643730194644</v>
      </c>
    </row>
    <row r="43" spans="1:9" ht="45" x14ac:dyDescent="0.25">
      <c r="A43" s="8"/>
      <c r="B43" s="8"/>
      <c r="C43" s="8"/>
      <c r="D43" s="8"/>
      <c r="E43" s="34" t="s">
        <v>57</v>
      </c>
      <c r="F43" s="45" t="s">
        <v>62</v>
      </c>
      <c r="G43" s="8"/>
      <c r="H43" s="35">
        <f>H41-I42</f>
        <v>582.38179401481329</v>
      </c>
      <c r="I43" s="8"/>
    </row>
    <row r="44" spans="1:9" ht="15.75" x14ac:dyDescent="0.25">
      <c r="A44" s="8"/>
      <c r="B44" s="8"/>
      <c r="C44" s="8"/>
      <c r="D44" s="8"/>
      <c r="E44" s="8"/>
      <c r="F44" s="8"/>
      <c r="G44" s="8"/>
      <c r="H44" s="8">
        <f>1.96*SQRT(H43)</f>
        <v>47.299872091659047</v>
      </c>
      <c r="I44" s="8"/>
    </row>
    <row r="45" spans="1:9" ht="15.75" x14ac:dyDescent="0.25">
      <c r="A45" s="8"/>
      <c r="B45" s="8"/>
      <c r="C45" s="8"/>
      <c r="D45" s="8"/>
      <c r="E45" s="8"/>
      <c r="F45" s="22" t="s">
        <v>24</v>
      </c>
      <c r="G45" s="36"/>
      <c r="H45" s="42">
        <f>G8-H44</f>
        <v>1437.8065108870642</v>
      </c>
      <c r="I45" s="36"/>
    </row>
    <row r="46" spans="1:9" ht="15.75" x14ac:dyDescent="0.25">
      <c r="A46" s="8"/>
      <c r="B46" s="8"/>
      <c r="C46" s="8"/>
      <c r="D46" s="8"/>
      <c r="E46" s="8"/>
      <c r="F46" s="22" t="s">
        <v>25</v>
      </c>
      <c r="G46" s="36"/>
      <c r="H46" s="42">
        <f>G8+H44</f>
        <v>1532.4062550703825</v>
      </c>
      <c r="I46" s="36"/>
    </row>
    <row r="47" spans="1:9" ht="15.75" x14ac:dyDescent="0.25">
      <c r="A47" s="8"/>
      <c r="B47" s="8"/>
      <c r="C47" s="8"/>
      <c r="D47" s="8"/>
      <c r="E47" s="8"/>
      <c r="F47" s="22" t="s">
        <v>30</v>
      </c>
      <c r="G47" s="36"/>
      <c r="H47" s="16" t="s">
        <v>63</v>
      </c>
      <c r="I47" s="36"/>
    </row>
    <row r="48" spans="1:9" ht="15.75" x14ac:dyDescent="0.25">
      <c r="A48" s="8"/>
      <c r="B48" s="8"/>
      <c r="C48" s="8"/>
      <c r="D48" s="8"/>
      <c r="E48" s="8"/>
      <c r="F48" s="37" t="s">
        <v>56</v>
      </c>
      <c r="G48" s="38"/>
      <c r="H48" s="38">
        <f>SQRT(H43)</f>
        <v>24.132587801866862</v>
      </c>
      <c r="I48" s="36"/>
    </row>
    <row r="49" spans="1:9" ht="15.75" x14ac:dyDescent="0.25">
      <c r="A49" s="8"/>
      <c r="B49" s="8"/>
      <c r="C49" s="8"/>
      <c r="D49" s="8"/>
      <c r="E49" s="8"/>
      <c r="F49" s="34" t="s">
        <v>59</v>
      </c>
      <c r="G49" s="36"/>
      <c r="H49" s="36">
        <f>H43/F15</f>
        <v>0.90829150682462101</v>
      </c>
      <c r="I49" s="36"/>
    </row>
    <row r="50" spans="1:9" ht="15.75" x14ac:dyDescent="0.25">
      <c r="A50" s="8"/>
      <c r="B50" s="8"/>
      <c r="C50" s="8"/>
      <c r="D50" s="8"/>
      <c r="E50" s="8"/>
      <c r="F50" s="34" t="s">
        <v>58</v>
      </c>
      <c r="G50" s="36"/>
      <c r="H50" s="36">
        <f>1-H49</f>
        <v>9.1708493175378991E-2</v>
      </c>
      <c r="I50" s="65">
        <f>H50</f>
        <v>9.1708493175378991E-2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5048-E0D2-4961-93F4-D03FAE18DF19}">
  <dimension ref="A1:D27"/>
  <sheetViews>
    <sheetView workbookViewId="0">
      <selection activeCell="A17" sqref="A17"/>
    </sheetView>
  </sheetViews>
  <sheetFormatPr baseColWidth="10" defaultRowHeight="15" x14ac:dyDescent="0.25"/>
  <cols>
    <col min="1" max="1" width="37.28515625" customWidth="1"/>
    <col min="2" max="2" width="17.85546875" bestFit="1" customWidth="1"/>
    <col min="3" max="3" width="11.42578125" customWidth="1"/>
    <col min="4" max="4" width="16.7109375" bestFit="1" customWidth="1"/>
    <col min="5" max="9" width="11.42578125" customWidth="1"/>
    <col min="10" max="10" width="17.7109375" bestFit="1" customWidth="1"/>
    <col min="11" max="11" width="11.42578125" customWidth="1"/>
  </cols>
  <sheetData>
    <row r="1" spans="1:4" ht="19.5" x14ac:dyDescent="0.25">
      <c r="A1" s="46" t="s">
        <v>64</v>
      </c>
    </row>
    <row r="2" spans="1:4" ht="19.5" x14ac:dyDescent="0.25">
      <c r="A2" s="46" t="s">
        <v>66</v>
      </c>
      <c r="B2" s="1"/>
      <c r="C2" s="1"/>
      <c r="D2" s="1"/>
    </row>
    <row r="3" spans="1:4" ht="19.5" x14ac:dyDescent="0.25">
      <c r="A3" s="1" t="s">
        <v>16</v>
      </c>
      <c r="B3" s="1">
        <v>5000</v>
      </c>
      <c r="C3" s="1"/>
      <c r="D3" s="1"/>
    </row>
    <row r="4" spans="1:4" ht="19.5" x14ac:dyDescent="0.25">
      <c r="A4" s="1" t="s">
        <v>15</v>
      </c>
      <c r="B4" s="1">
        <v>140</v>
      </c>
      <c r="C4" s="1"/>
      <c r="D4" s="1"/>
    </row>
    <row r="5" spans="1:4" ht="19.5" x14ac:dyDescent="0.25">
      <c r="A5" s="1" t="s">
        <v>17</v>
      </c>
      <c r="B5" s="1">
        <v>16</v>
      </c>
      <c r="C5" s="1"/>
      <c r="D5" s="1"/>
    </row>
    <row r="6" spans="1:4" ht="19.5" x14ac:dyDescent="0.25">
      <c r="A6" s="1" t="s">
        <v>18</v>
      </c>
      <c r="B6" s="1">
        <f>B5/B4</f>
        <v>0.11428571428571428</v>
      </c>
      <c r="C6" s="1"/>
      <c r="D6" s="1"/>
    </row>
    <row r="7" spans="1:4" ht="19.5" x14ac:dyDescent="0.25">
      <c r="A7" s="48" t="s">
        <v>20</v>
      </c>
      <c r="B7" s="48">
        <f>B4*B6</f>
        <v>16</v>
      </c>
      <c r="C7" s="1"/>
      <c r="D7" s="1"/>
    </row>
    <row r="8" spans="1:4" ht="19.5" x14ac:dyDescent="0.25">
      <c r="A8" s="48" t="s">
        <v>21</v>
      </c>
      <c r="B8" s="48">
        <f>B4*(1-B6)</f>
        <v>124</v>
      </c>
      <c r="C8" s="1"/>
      <c r="D8" s="1"/>
    </row>
    <row r="9" spans="1:4" ht="19.5" x14ac:dyDescent="0.25">
      <c r="A9" s="1" t="s">
        <v>23</v>
      </c>
      <c r="B9" s="1">
        <v>1.96</v>
      </c>
      <c r="C9" s="1"/>
      <c r="D9" s="1"/>
    </row>
    <row r="10" spans="1:4" ht="19.5" x14ac:dyDescent="0.25">
      <c r="A10" s="1" t="s">
        <v>22</v>
      </c>
      <c r="B10" s="1">
        <f>(1-B4/B3)*B6*(1-B6)/(B4-1)</f>
        <v>7.0784319483188955E-4</v>
      </c>
      <c r="C10" s="1"/>
      <c r="D10" s="1"/>
    </row>
    <row r="11" spans="1:4" ht="19.5" x14ac:dyDescent="0.25">
      <c r="A11" s="1" t="s">
        <v>74</v>
      </c>
      <c r="B11" s="1">
        <f>B9*SQRT(B10)</f>
        <v>5.2146432450036181E-2</v>
      </c>
      <c r="C11" s="1"/>
      <c r="D11" s="1"/>
    </row>
    <row r="12" spans="1:4" ht="19.5" x14ac:dyDescent="0.25">
      <c r="A12" s="1"/>
      <c r="B12" s="1"/>
      <c r="C12" s="1"/>
      <c r="D12" s="1"/>
    </row>
    <row r="13" spans="1:4" ht="19.5" x14ac:dyDescent="0.25">
      <c r="A13" s="47" t="s">
        <v>24</v>
      </c>
      <c r="B13" s="47">
        <f>B6-B11</f>
        <v>6.2139281835678101E-2</v>
      </c>
      <c r="C13" s="48"/>
      <c r="D13" s="1"/>
    </row>
    <row r="14" spans="1:4" ht="19.5" x14ac:dyDescent="0.25">
      <c r="A14" s="47" t="s">
        <v>25</v>
      </c>
      <c r="B14" s="47">
        <f>B6+B11</f>
        <v>0.16643214673575046</v>
      </c>
      <c r="C14" s="48"/>
      <c r="D14" s="1"/>
    </row>
    <row r="15" spans="1:4" ht="19.5" x14ac:dyDescent="0.25">
      <c r="A15" s="47" t="s">
        <v>30</v>
      </c>
      <c r="B15" s="48" t="s">
        <v>65</v>
      </c>
      <c r="C15" s="48"/>
      <c r="D15" s="1"/>
    </row>
    <row r="16" spans="1:4" ht="19.5" x14ac:dyDescent="0.25">
      <c r="A16" s="1"/>
      <c r="B16" s="1"/>
      <c r="C16" s="49"/>
      <c r="D16" s="1"/>
    </row>
    <row r="17" spans="1:4" ht="19.5" x14ac:dyDescent="0.25">
      <c r="A17" s="56" t="s">
        <v>67</v>
      </c>
      <c r="B17" s="1"/>
      <c r="C17" s="49"/>
      <c r="D17" s="1"/>
    </row>
    <row r="18" spans="1:4" ht="24" x14ac:dyDescent="0.25">
      <c r="A18" s="53" t="s">
        <v>71</v>
      </c>
      <c r="B18" s="1"/>
      <c r="C18" s="1"/>
      <c r="D18" s="1"/>
    </row>
    <row r="19" spans="1:4" ht="19.5" x14ac:dyDescent="0.25">
      <c r="D19" s="1"/>
    </row>
    <row r="20" spans="1:4" ht="19.5" x14ac:dyDescent="0.25">
      <c r="A20" s="1" t="s">
        <v>68</v>
      </c>
      <c r="B20" s="1">
        <f>B3*B6</f>
        <v>571.42857142857144</v>
      </c>
      <c r="C20" s="52">
        <f>B20</f>
        <v>571.42857142857144</v>
      </c>
      <c r="D20" s="1"/>
    </row>
    <row r="21" spans="1:4" ht="19.5" x14ac:dyDescent="0.25">
      <c r="A21" s="1" t="s">
        <v>72</v>
      </c>
      <c r="B21" s="51">
        <f>B3^2*B10</f>
        <v>17696.079870797239</v>
      </c>
      <c r="C21" s="1"/>
      <c r="D21" s="1"/>
    </row>
    <row r="22" spans="1:4" ht="19.5" x14ac:dyDescent="0.25">
      <c r="A22" s="1" t="s">
        <v>73</v>
      </c>
      <c r="B22" s="1">
        <f>SQRT(B21)</f>
        <v>133.02661339294946</v>
      </c>
      <c r="C22" s="1">
        <f>B22</f>
        <v>133.02661339294946</v>
      </c>
      <c r="D22" s="1"/>
    </row>
    <row r="23" spans="1:4" ht="19.5" x14ac:dyDescent="0.25">
      <c r="A23" s="1" t="s">
        <v>70</v>
      </c>
      <c r="B23" s="51">
        <f>B9*SQRT(B21)</f>
        <v>260.73216225018092</v>
      </c>
      <c r="C23" s="1"/>
      <c r="D23" s="1"/>
    </row>
    <row r="24" spans="1:4" ht="19.5" x14ac:dyDescent="0.25">
      <c r="A24" s="47" t="s">
        <v>24</v>
      </c>
      <c r="B24" s="50">
        <f>B20-B23</f>
        <v>310.69640917839052</v>
      </c>
      <c r="C24" s="48"/>
      <c r="D24" s="1"/>
    </row>
    <row r="25" spans="1:4" ht="19.5" x14ac:dyDescent="0.25">
      <c r="A25" s="47" t="s">
        <v>25</v>
      </c>
      <c r="B25" s="50">
        <f>B20+B23</f>
        <v>832.16073367875242</v>
      </c>
      <c r="C25" s="48"/>
      <c r="D25" s="1"/>
    </row>
    <row r="26" spans="1:4" ht="19.5" x14ac:dyDescent="0.25">
      <c r="A26" s="47" t="s">
        <v>30</v>
      </c>
      <c r="B26" s="48" t="s">
        <v>69</v>
      </c>
      <c r="C26" s="48"/>
      <c r="D26" s="1"/>
    </row>
    <row r="27" spans="1:4" ht="19.5" x14ac:dyDescent="0.25">
      <c r="A27" s="1"/>
      <c r="B27" s="1"/>
      <c r="C27" s="1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Q2-4</vt:lpstr>
      <vt:lpstr>Q5</vt:lpstr>
      <vt:lpstr>Q6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Btissam</dc:creator>
  <cp:lastModifiedBy>Btissam</cp:lastModifiedBy>
  <dcterms:created xsi:type="dcterms:W3CDTF">2021-04-02T07:37:51Z</dcterms:created>
  <dcterms:modified xsi:type="dcterms:W3CDTF">2022-02-14T12:51:49Z</dcterms:modified>
</cp:coreProperties>
</file>